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4" i="1" l="1"/>
  <c r="E8" i="1"/>
  <c r="G8" i="1" s="1"/>
  <c r="F4" i="1"/>
  <c r="H6" i="1"/>
  <c r="G6" i="1"/>
  <c r="H7" i="1"/>
  <c r="G7" i="1"/>
  <c r="G4" i="1" l="1"/>
  <c r="H8" i="1"/>
  <c r="H5" i="1"/>
  <c r="D48" i="1"/>
  <c r="D46" i="1"/>
  <c r="D35" i="1" l="1"/>
  <c r="C35" i="1"/>
  <c r="E7" i="1" l="1"/>
  <c r="E45" i="1" l="1"/>
  <c r="E43" i="1"/>
  <c r="C43" i="1"/>
  <c r="D4" i="1"/>
  <c r="C4" i="1"/>
  <c r="C48" i="1" l="1"/>
  <c r="E47" i="1"/>
  <c r="E35" i="1" s="1"/>
  <c r="E44" i="1"/>
  <c r="D12" i="1"/>
  <c r="E12" i="1" s="1"/>
  <c r="C12" i="1"/>
  <c r="C22" i="1" l="1"/>
  <c r="D29" i="1" l="1"/>
  <c r="E22" i="1"/>
  <c r="E19" i="1" s="1"/>
  <c r="D31" i="1"/>
  <c r="E14" i="1"/>
  <c r="E13" i="1"/>
  <c r="E11" i="1"/>
  <c r="E10" i="1"/>
  <c r="E9" i="1"/>
  <c r="E4" i="1"/>
  <c r="E3" i="1" s="1"/>
  <c r="D33" i="1" l="1"/>
  <c r="D22" i="1" s="1"/>
  <c r="D19" i="1" s="1"/>
  <c r="C45" i="1"/>
  <c r="C38" i="1"/>
  <c r="C36" i="1"/>
  <c r="C19" i="1" s="1"/>
  <c r="D3" i="1"/>
  <c r="E59" i="1"/>
  <c r="C3" i="1"/>
  <c r="C59" i="1" l="1"/>
  <c r="D59" i="1"/>
</calcChain>
</file>

<file path=xl/sharedStrings.xml><?xml version="1.0" encoding="utf-8"?>
<sst xmlns="http://schemas.openxmlformats.org/spreadsheetml/2006/main" count="122" uniqueCount="122">
  <si>
    <t>№</t>
  </si>
  <si>
    <t>Наименование</t>
  </si>
  <si>
    <t>План 2017</t>
  </si>
  <si>
    <t>Факт 2017</t>
  </si>
  <si>
    <t>1.1</t>
  </si>
  <si>
    <t>Выручка по коммунальным услугам</t>
  </si>
  <si>
    <t>1.1.1</t>
  </si>
  <si>
    <t>Выручка по вывозу ТБО</t>
  </si>
  <si>
    <t>1.1.2</t>
  </si>
  <si>
    <t>Выручка по текущему ремонту</t>
  </si>
  <si>
    <t>1.1.3</t>
  </si>
  <si>
    <t>Выручка по содержанию жилья</t>
  </si>
  <si>
    <t>1.1.4</t>
  </si>
  <si>
    <t>Выручка ГВ сод. Общ. Имущ</t>
  </si>
  <si>
    <t>1.1.5</t>
  </si>
  <si>
    <t>Выручка ХВ сод. Общ. Имущ</t>
  </si>
  <si>
    <t>1.1.6</t>
  </si>
  <si>
    <t>Выручка ЭЭ на общ. Имущ</t>
  </si>
  <si>
    <t>1.1.7</t>
  </si>
  <si>
    <t>Выручка по содержанию лифтов</t>
  </si>
  <si>
    <t>2</t>
  </si>
  <si>
    <t>РАСХОДЫ</t>
  </si>
  <si>
    <t>2.1</t>
  </si>
  <si>
    <t>ВЫВОЗ ТБО</t>
  </si>
  <si>
    <t>2.2</t>
  </si>
  <si>
    <t>ТЕКУЩИЙ РЕМОНТ</t>
  </si>
  <si>
    <t>2.2.1</t>
  </si>
  <si>
    <t>2.2.3</t>
  </si>
  <si>
    <t>2.2.4</t>
  </si>
  <si>
    <t>2.2.5</t>
  </si>
  <si>
    <t>Ремонт межпанельных швов</t>
  </si>
  <si>
    <t>2.2.6</t>
  </si>
  <si>
    <t xml:space="preserve">Ремонт подъезд 2 (частично, окончание в 2017) </t>
  </si>
  <si>
    <t>2.2.7</t>
  </si>
  <si>
    <t>2.2.8</t>
  </si>
  <si>
    <t>2.2.9</t>
  </si>
  <si>
    <t>2.2.10</t>
  </si>
  <si>
    <t xml:space="preserve">Ремонт крыши, паребриков, плит. </t>
  </si>
  <si>
    <t>2.2.12</t>
  </si>
  <si>
    <t>2.3</t>
  </si>
  <si>
    <t>2.3.1</t>
  </si>
  <si>
    <t>2.3.2</t>
  </si>
  <si>
    <t>Страховые взносы с ФОТ</t>
  </si>
  <si>
    <t>2.3.3</t>
  </si>
  <si>
    <t>Компенсация на использование личного автотранспорта</t>
  </si>
  <si>
    <t>2.3.5</t>
  </si>
  <si>
    <t>Аварийно диспетчерская служба</t>
  </si>
  <si>
    <t>2.3.7</t>
  </si>
  <si>
    <t>Обязательная аттестация сотрудников</t>
  </si>
  <si>
    <t>2.3.8</t>
  </si>
  <si>
    <t>Тех.обслуживание тех.узла системы теплоснабжения по договору</t>
  </si>
  <si>
    <t>2.3.9</t>
  </si>
  <si>
    <t>2.3.10</t>
  </si>
  <si>
    <t>2.3.12</t>
  </si>
  <si>
    <t>Элетроэнергия МОП</t>
  </si>
  <si>
    <t>2.3.14</t>
  </si>
  <si>
    <t>МОП Горводоканал</t>
  </si>
  <si>
    <t>2.3.15</t>
  </si>
  <si>
    <t>Услуги НП ОРС</t>
  </si>
  <si>
    <t>2.3.16</t>
  </si>
  <si>
    <t>2.3.18</t>
  </si>
  <si>
    <t>Связь, почта, размещение объявлений</t>
  </si>
  <si>
    <t>2.3.20</t>
  </si>
  <si>
    <t>Расходы на услуги банка</t>
  </si>
  <si>
    <t>2.3.22</t>
  </si>
  <si>
    <t>2.3.23</t>
  </si>
  <si>
    <t>Вывоз и уборка снега, чистка козырьков</t>
  </si>
  <si>
    <t>2.3.24</t>
  </si>
  <si>
    <t>СОДЕРЖАНИЕ ЛИФТОВ</t>
  </si>
  <si>
    <t>2.5</t>
  </si>
  <si>
    <t>Непредвиденные расходы</t>
  </si>
  <si>
    <t>Финансовый результат</t>
  </si>
  <si>
    <t>1.2</t>
  </si>
  <si>
    <t>1.4</t>
  </si>
  <si>
    <t>Выручка по  автопарковке</t>
  </si>
  <si>
    <t>ГВ (ПОВЫШАЮЩИЙ КОЭФФИЦИЕНТ)</t>
  </si>
  <si>
    <t>ХВ (ПОВЫШАЮЩИЙ КОЭФФИЦИЕНТ)</t>
  </si>
  <si>
    <t>1.5</t>
  </si>
  <si>
    <t>1.6</t>
  </si>
  <si>
    <t>Выручка от предпринимательской деят-ти</t>
  </si>
  <si>
    <t>Налог УСН</t>
  </si>
  <si>
    <t xml:space="preserve">Содержание и ремонт автоматических ворот, шлагбаума,видео </t>
  </si>
  <si>
    <t>Фонд председателя правления</t>
  </si>
  <si>
    <t>План 2018</t>
  </si>
  <si>
    <t>Выручка общая</t>
  </si>
  <si>
    <t>Ремонт канализации в подвале 3,4, ремонт ГВС</t>
  </si>
  <si>
    <t>2.2.2</t>
  </si>
  <si>
    <t>Устройство перил, окна и решетки в подвалы</t>
  </si>
  <si>
    <t>СОДЕРЖАНИЕ ЖИЛЬЯ И ДРУГИЕ РАСХОДЫ</t>
  </si>
  <si>
    <t>Текущий ремонт и тех.обслуживание снегоуборочной машины</t>
  </si>
  <si>
    <t>Выручка прочая(пени, отключение стояков, антенна)</t>
  </si>
  <si>
    <t>2.3.11</t>
  </si>
  <si>
    <t>2.3.19</t>
  </si>
  <si>
    <t>2.3.21</t>
  </si>
  <si>
    <t>Обслуживание ПО, катридж, копии , СБИС,сайт, канцелярия</t>
  </si>
  <si>
    <t>Материалы, хоз, элетротовары, инвентарь, доводчики</t>
  </si>
  <si>
    <t>Аварийная Подпорная стена у ТЦ Кропоткинский-100т.р., ограждение территрии дома со стороны стоянки и отвод воды-192т.р.. Аварийная подпорная стена со стороны ул Кропоткина-207т.р.</t>
  </si>
  <si>
    <t>Ремонт ограждения контейнерной площадки с отводом дождевой воды</t>
  </si>
  <si>
    <t>Подготовка системы отопления к отопительному сезону(промывка, опрессовка требопровода), промывка канализации сторонней организацией</t>
  </si>
  <si>
    <t>2.3.13</t>
  </si>
  <si>
    <t>2.3.17</t>
  </si>
  <si>
    <t>Счетчик холодной воды, узел учета ХВС, ГВС, модернизация отопительной системы</t>
  </si>
  <si>
    <t xml:space="preserve">Реконструкция Аварийной будки контролеров </t>
  </si>
  <si>
    <t>СМЕТА ДОХОДОВ И РАСХОДОВ ТСЖ "КРОПОТКИНА 261"на   2018г                                       (жилищно-коммунальные услуги)</t>
  </si>
  <si>
    <t>Выручка от сбора от благоустройства территории</t>
  </si>
  <si>
    <t>Дорожка  в сторону лицея, озеленение территории дома</t>
  </si>
  <si>
    <t>Выручка по целевому взносу решения ОСС от08.11.2017г</t>
  </si>
  <si>
    <t>1.7</t>
  </si>
  <si>
    <t>1.8</t>
  </si>
  <si>
    <t>1.9</t>
  </si>
  <si>
    <t>Косметический ремонт подъездов ( 3 и 4)</t>
  </si>
  <si>
    <t>Укладка плитки  на пол в подъезды</t>
  </si>
  <si>
    <t>Заработная плата ( с НДФЛ), (в.т.ч. уборка подъездов)</t>
  </si>
  <si>
    <t xml:space="preserve">                   справочно, в т.ч. зарплата контролеров</t>
  </si>
  <si>
    <t>Ремонт и покрытие плит-козырьков над подъездами</t>
  </si>
  <si>
    <t>Текущий ремонт детской площадки.</t>
  </si>
  <si>
    <t>2.2.11</t>
  </si>
  <si>
    <t>тарифы 01</t>
  </si>
  <si>
    <t>изменение</t>
  </si>
  <si>
    <t>проверка</t>
  </si>
  <si>
    <t>узнавать будем</t>
  </si>
  <si>
    <t>тарифы с февр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</si>
</sst>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3" fillId="2" borderId="1" xfId="0" applyNumberFormat="1" applyFont="1" applyFill="1" applyBorder="1"/>
    <xf numFmtId="49" fontId="3" fillId="0" borderId="1" xfId="0" applyNumberFormat="1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3" fontId="0" fillId="0" borderId="1" xfId="0" applyNumberFormat="1" applyBorder="1"/>
    <xf numFmtId="0" fontId="4" fillId="2" borderId="1" xfId="0" applyFont="1" applyFill="1" applyBorder="1"/>
    <xf numFmtId="3" fontId="0" fillId="2" borderId="1" xfId="0" applyNumberFormat="1" applyFill="1" applyBorder="1"/>
    <xf numFmtId="0" fontId="4" fillId="0" borderId="0" xfId="0" applyFont="1" applyAlignment="1">
      <alignment horizontal="center" wrapText="1"/>
    </xf>
    <xf numFmtId="0" fontId="0" fillId="2" borderId="0" xfId="0" applyFill="1"/>
    <xf numFmtId="3" fontId="1" fillId="2" borderId="1" xfId="0" applyNumberFormat="1" applyFont="1" applyFill="1" applyBorder="1"/>
    <xf numFmtId="0" fontId="3" fillId="2" borderId="0" xfId="0" applyFont="1" applyFill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49" fontId="4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3" fontId="7" fillId="2" borderId="1" xfId="0" applyNumberFormat="1" applyFont="1" applyFill="1" applyBorder="1"/>
    <xf numFmtId="4" fontId="3" fillId="0" borderId="0" xfId="0" applyNumberFormat="1" applyFont="1"/>
    <xf numFmtId="9" fontId="3" fillId="0" borderId="0" xfId="0" applyNumberFormat="1" applyFont="1"/>
    <xf numFmtId="0" fontId="3" fillId="3" borderId="1" xfId="0" applyFont="1" applyFill="1" applyBorder="1"/>
    <xf numFmtId="3" fontId="3" fillId="3" borderId="1" xfId="0" applyNumberFormat="1" applyFont="1" applyFill="1" applyBorder="1"/>
    <xf numFmtId="4" fontId="4" fillId="0" borderId="0" xfId="0" applyNumberFormat="1" applyFont="1"/>
    <xf numFmtId="9" fontId="4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showWhiteSpace="0" view="pageLayout" topLeftCell="A22" zoomScaleNormal="100" workbookViewId="0">
      <selection activeCell="H15" sqref="H15"/>
    </sheetView>
  </sheetViews>
  <sheetFormatPr defaultColWidth="9.109375" defaultRowHeight="13.8" x14ac:dyDescent="0.3"/>
  <cols>
    <col min="1" max="1" width="5.88671875" style="1" customWidth="1"/>
    <col min="2" max="2" width="53" style="1" customWidth="1"/>
    <col min="3" max="3" width="11.44140625" style="1" customWidth="1"/>
    <col min="4" max="4" width="12.5546875" style="1" customWidth="1"/>
    <col min="5" max="5" width="11.109375" style="1" customWidth="1"/>
    <col min="6" max="6" width="9.109375" style="1"/>
    <col min="7" max="7" width="17.44140625" style="1" bestFit="1" customWidth="1"/>
    <col min="8" max="16384" width="9.109375" style="1"/>
  </cols>
  <sheetData>
    <row r="1" spans="1:9" ht="32.25" customHeight="1" x14ac:dyDescent="0.3">
      <c r="B1" s="16" t="s">
        <v>103</v>
      </c>
      <c r="C1" s="2"/>
    </row>
    <row r="2" spans="1:9" ht="27" customHeight="1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83</v>
      </c>
      <c r="F2" s="1" t="s">
        <v>117</v>
      </c>
      <c r="G2" s="1" t="s">
        <v>121</v>
      </c>
      <c r="H2" s="1" t="s">
        <v>119</v>
      </c>
      <c r="I2" s="1" t="s">
        <v>118</v>
      </c>
    </row>
    <row r="3" spans="1:9" ht="27" customHeight="1" x14ac:dyDescent="0.3">
      <c r="A3" s="22">
        <v>1</v>
      </c>
      <c r="B3" s="23" t="s">
        <v>84</v>
      </c>
      <c r="C3" s="24">
        <f>C4+C12+C13+C14+C15+C16+C17</f>
        <v>4040.733493924562</v>
      </c>
      <c r="D3" s="24">
        <f>D4+D12+D13+D14+D15+D16+D17</f>
        <v>4342.983580000001</v>
      </c>
      <c r="E3" s="24">
        <f>E4+E12+E13+E14+E15+E16+E17+E18</f>
        <v>4524.1735552750006</v>
      </c>
    </row>
    <row r="4" spans="1:9" x14ac:dyDescent="0.3">
      <c r="A4" s="25" t="s">
        <v>4</v>
      </c>
      <c r="B4" s="14" t="s">
        <v>5</v>
      </c>
      <c r="C4" s="26">
        <f>SUM(C5:C11)</f>
        <v>3164.2274939245617</v>
      </c>
      <c r="D4" s="26">
        <f t="shared" ref="D4:E4" si="0">SUM(D5:D11)</f>
        <v>3249.9402700000001</v>
      </c>
      <c r="E4" s="26">
        <f t="shared" si="0"/>
        <v>3310.3805152750001</v>
      </c>
      <c r="F4" s="39">
        <f>SUM(F5:F8)</f>
        <v>24.270000000000003</v>
      </c>
      <c r="G4" s="39">
        <f>SUM(G5:G8)</f>
        <v>25.23628123459622</v>
      </c>
      <c r="H4" s="41">
        <f>SUM(H5:H8)</f>
        <v>3094.333293275</v>
      </c>
      <c r="I4" s="40">
        <v>0.04</v>
      </c>
    </row>
    <row r="5" spans="1:9" x14ac:dyDescent="0.3">
      <c r="A5" s="25" t="s">
        <v>6</v>
      </c>
      <c r="B5" s="10" t="s">
        <v>7</v>
      </c>
      <c r="C5" s="8">
        <v>199.45657</v>
      </c>
      <c r="D5" s="8">
        <v>199.27188000000001</v>
      </c>
      <c r="E5" s="8">
        <v>206</v>
      </c>
      <c r="F5" s="35">
        <v>1.62</v>
      </c>
      <c r="G5" s="35">
        <v>1.68</v>
      </c>
      <c r="H5" s="42">
        <f>F5*10250.58/1000+G5*10250.58*11/1000</f>
        <v>206.03665799999999</v>
      </c>
      <c r="I5" s="36">
        <v>0.04</v>
      </c>
    </row>
    <row r="6" spans="1:9" x14ac:dyDescent="0.3">
      <c r="A6" s="25" t="s">
        <v>8</v>
      </c>
      <c r="B6" s="10" t="s">
        <v>19</v>
      </c>
      <c r="C6" s="8">
        <v>294.55715911175486</v>
      </c>
      <c r="D6" s="8">
        <v>293.14464999999996</v>
      </c>
      <c r="E6" s="8">
        <v>260</v>
      </c>
      <c r="F6" s="35">
        <v>2.44</v>
      </c>
      <c r="G6" s="35">
        <f>(E6*1000-F6*10250.58)/11/10250.58</f>
        <v>2.0840380366946865</v>
      </c>
      <c r="H6" s="42">
        <f>F6*10250.58/1000+G6*10250.58*11/1000</f>
        <v>260</v>
      </c>
      <c r="I6" s="36">
        <v>-0.15</v>
      </c>
    </row>
    <row r="7" spans="1:9" x14ac:dyDescent="0.3">
      <c r="A7" s="25" t="s">
        <v>10</v>
      </c>
      <c r="B7" s="10" t="s">
        <v>9</v>
      </c>
      <c r="C7" s="8">
        <v>522.04611752801361</v>
      </c>
      <c r="D7" s="8">
        <v>522.06704999999999</v>
      </c>
      <c r="E7" s="8">
        <f>D7*1.06</f>
        <v>553.39107300000001</v>
      </c>
      <c r="F7" s="35">
        <v>4.25</v>
      </c>
      <c r="G7" s="35">
        <f t="shared" ref="G7" si="1">(E7*1000-F7*10250.58)/11/10250.58</f>
        <v>4.5214834672769735</v>
      </c>
      <c r="H7" s="42">
        <f t="shared" ref="H7:H8" si="2">F7*10250.58/1000+G7*10250.58*11/1000</f>
        <v>553.39107300000001</v>
      </c>
      <c r="I7" s="36">
        <v>0.06</v>
      </c>
    </row>
    <row r="8" spans="1:9" x14ac:dyDescent="0.3">
      <c r="A8" s="25" t="s">
        <v>12</v>
      </c>
      <c r="B8" s="10" t="s">
        <v>11</v>
      </c>
      <c r="C8" s="8">
        <v>2148.1676472847935</v>
      </c>
      <c r="D8" s="8">
        <v>2019.3728099999998</v>
      </c>
      <c r="E8" s="8">
        <f>D8*1.0275</f>
        <v>2074.9055622750002</v>
      </c>
      <c r="F8" s="35">
        <v>15.96</v>
      </c>
      <c r="G8" s="35">
        <f>(E8*1000-F8*10250.58)/11/10250.58</f>
        <v>16.950759730624558</v>
      </c>
      <c r="H8" s="42">
        <f t="shared" si="2"/>
        <v>2074.9055622750002</v>
      </c>
      <c r="I8" s="36">
        <v>0.06</v>
      </c>
    </row>
    <row r="9" spans="1:9" x14ac:dyDescent="0.3">
      <c r="A9" s="25" t="s">
        <v>14</v>
      </c>
      <c r="B9" s="37" t="s">
        <v>13</v>
      </c>
      <c r="C9" s="38"/>
      <c r="D9" s="38">
        <v>76.264920000000004</v>
      </c>
      <c r="E9" s="38">
        <f t="shared" ref="E9:E14" si="3">D9</f>
        <v>76.264920000000004</v>
      </c>
      <c r="F9" s="35" t="s">
        <v>120</v>
      </c>
      <c r="G9" s="35"/>
    </row>
    <row r="10" spans="1:9" x14ac:dyDescent="0.3">
      <c r="A10" s="25" t="s">
        <v>16</v>
      </c>
      <c r="B10" s="37" t="s">
        <v>15</v>
      </c>
      <c r="C10" s="38"/>
      <c r="D10" s="38">
        <v>13.53168</v>
      </c>
      <c r="E10" s="38">
        <f t="shared" si="3"/>
        <v>13.53168</v>
      </c>
      <c r="F10" s="35"/>
      <c r="G10" s="35"/>
    </row>
    <row r="11" spans="1:9" x14ac:dyDescent="0.3">
      <c r="A11" s="25" t="s">
        <v>18</v>
      </c>
      <c r="B11" s="37" t="s">
        <v>17</v>
      </c>
      <c r="C11" s="38"/>
      <c r="D11" s="38">
        <v>126.28728</v>
      </c>
      <c r="E11" s="38">
        <f t="shared" si="3"/>
        <v>126.28728</v>
      </c>
      <c r="F11" s="35"/>
      <c r="G11" s="35"/>
    </row>
    <row r="12" spans="1:9" customFormat="1" ht="14.4" x14ac:dyDescent="0.3">
      <c r="A12" s="10" t="s">
        <v>72</v>
      </c>
      <c r="B12" s="14" t="s">
        <v>90</v>
      </c>
      <c r="C12" s="27">
        <f>11.706+38</f>
        <v>49.706000000000003</v>
      </c>
      <c r="D12" s="27">
        <f>26.04304+39</f>
        <v>65.043040000000005</v>
      </c>
      <c r="E12" s="27">
        <f t="shared" si="3"/>
        <v>65.043040000000005</v>
      </c>
    </row>
    <row r="13" spans="1:9" customFormat="1" ht="14.4" x14ac:dyDescent="0.3">
      <c r="A13" s="10" t="s">
        <v>73</v>
      </c>
      <c r="B13" s="14" t="s">
        <v>74</v>
      </c>
      <c r="C13" s="27">
        <v>459</v>
      </c>
      <c r="D13" s="28">
        <v>450.75</v>
      </c>
      <c r="E13" s="27">
        <f t="shared" si="3"/>
        <v>450.75</v>
      </c>
    </row>
    <row r="14" spans="1:9" customFormat="1" ht="14.4" x14ac:dyDescent="0.3">
      <c r="A14" s="29" t="s">
        <v>77</v>
      </c>
      <c r="B14" s="30" t="s">
        <v>104</v>
      </c>
      <c r="C14" s="28">
        <v>197.8</v>
      </c>
      <c r="D14" s="28">
        <v>209.39999999999998</v>
      </c>
      <c r="E14" s="27">
        <f t="shared" si="3"/>
        <v>209.39999999999998</v>
      </c>
    </row>
    <row r="15" spans="1:9" customFormat="1" ht="14.4" x14ac:dyDescent="0.3">
      <c r="A15" s="10" t="s">
        <v>78</v>
      </c>
      <c r="B15" s="14" t="s">
        <v>79</v>
      </c>
      <c r="C15" s="27">
        <v>170</v>
      </c>
      <c r="D15" s="27">
        <v>209.42729999999997</v>
      </c>
      <c r="E15" s="27">
        <v>162.6</v>
      </c>
      <c r="F15" s="17"/>
    </row>
    <row r="16" spans="1:9" customFormat="1" ht="14.4" x14ac:dyDescent="0.3">
      <c r="A16" s="10" t="s">
        <v>107</v>
      </c>
      <c r="B16" s="14" t="s">
        <v>75</v>
      </c>
      <c r="C16" s="27"/>
      <c r="D16" s="28">
        <v>129.99096</v>
      </c>
      <c r="E16" s="27">
        <v>104</v>
      </c>
    </row>
    <row r="17" spans="1:5" customFormat="1" ht="14.4" x14ac:dyDescent="0.3">
      <c r="A17" s="29" t="s">
        <v>108</v>
      </c>
      <c r="B17" s="14" t="s">
        <v>76</v>
      </c>
      <c r="C17" s="27"/>
      <c r="D17" s="28">
        <v>28.432009999999998</v>
      </c>
      <c r="E17" s="27">
        <v>22</v>
      </c>
    </row>
    <row r="18" spans="1:5" customFormat="1" ht="14.4" x14ac:dyDescent="0.3">
      <c r="A18" s="10" t="s">
        <v>109</v>
      </c>
      <c r="B18" s="14" t="s">
        <v>106</v>
      </c>
      <c r="C18" s="27"/>
      <c r="D18" s="28"/>
      <c r="E18" s="27">
        <v>200</v>
      </c>
    </row>
    <row r="19" spans="1:5" ht="25.2" customHeight="1" x14ac:dyDescent="0.3">
      <c r="A19" s="31" t="s">
        <v>20</v>
      </c>
      <c r="B19" s="32" t="s">
        <v>21</v>
      </c>
      <c r="C19" s="26">
        <f>C20+C21+C22+C35+C58</f>
        <v>4212.1489599999995</v>
      </c>
      <c r="D19" s="26">
        <f>D20+D21+D22+D35+D58</f>
        <v>4220.16852503277</v>
      </c>
      <c r="E19" s="26">
        <f>E20+E21+E22+E35+E58</f>
        <v>4524.0308000000005</v>
      </c>
    </row>
    <row r="20" spans="1:5" ht="13.8" customHeight="1" x14ac:dyDescent="0.3">
      <c r="A20" s="31" t="s">
        <v>22</v>
      </c>
      <c r="B20" s="14" t="s">
        <v>23</v>
      </c>
      <c r="C20" s="26">
        <v>199</v>
      </c>
      <c r="D20" s="26">
        <v>186.035</v>
      </c>
      <c r="E20" s="26">
        <v>199</v>
      </c>
    </row>
    <row r="21" spans="1:5" x14ac:dyDescent="0.3">
      <c r="A21" s="20" t="s">
        <v>67</v>
      </c>
      <c r="B21" s="14" t="s">
        <v>68</v>
      </c>
      <c r="C21" s="26">
        <v>295</v>
      </c>
      <c r="D21" s="26">
        <v>248.77121</v>
      </c>
      <c r="E21" s="26">
        <v>249</v>
      </c>
    </row>
    <row r="22" spans="1:5" x14ac:dyDescent="0.3">
      <c r="A22" s="31" t="s">
        <v>24</v>
      </c>
      <c r="B22" s="14" t="s">
        <v>25</v>
      </c>
      <c r="C22" s="26">
        <f>SUM(C23:C34)</f>
        <v>620</v>
      </c>
      <c r="D22" s="26">
        <f>SUM(D23:D34)</f>
        <v>767.52798999999993</v>
      </c>
      <c r="E22" s="26">
        <f>SUM(E23:E34)</f>
        <v>653</v>
      </c>
    </row>
    <row r="23" spans="1:5" x14ac:dyDescent="0.3">
      <c r="A23" s="20" t="s">
        <v>26</v>
      </c>
      <c r="B23" s="10" t="s">
        <v>30</v>
      </c>
      <c r="C23" s="8">
        <v>40</v>
      </c>
      <c r="D23" s="8">
        <v>53.49</v>
      </c>
      <c r="E23" s="8">
        <v>56</v>
      </c>
    </row>
    <row r="24" spans="1:5" x14ac:dyDescent="0.3">
      <c r="A24" s="20" t="s">
        <v>86</v>
      </c>
      <c r="B24" s="10" t="s">
        <v>37</v>
      </c>
      <c r="C24" s="8">
        <v>67</v>
      </c>
      <c r="D24" s="8">
        <v>89.98</v>
      </c>
      <c r="E24" s="8">
        <v>100</v>
      </c>
    </row>
    <row r="25" spans="1:5" x14ac:dyDescent="0.3">
      <c r="A25" s="20" t="s">
        <v>27</v>
      </c>
      <c r="B25" s="10" t="s">
        <v>32</v>
      </c>
      <c r="C25" s="8">
        <v>55</v>
      </c>
      <c r="D25" s="8">
        <v>70.56998999999999</v>
      </c>
      <c r="E25" s="8"/>
    </row>
    <row r="26" spans="1:5" x14ac:dyDescent="0.3">
      <c r="A26" s="20" t="s">
        <v>28</v>
      </c>
      <c r="B26" s="10" t="s">
        <v>110</v>
      </c>
      <c r="C26" s="8"/>
      <c r="D26" s="8"/>
      <c r="E26" s="8">
        <v>90</v>
      </c>
    </row>
    <row r="27" spans="1:5" x14ac:dyDescent="0.3">
      <c r="A27" s="20" t="s">
        <v>29</v>
      </c>
      <c r="B27" s="10" t="s">
        <v>89</v>
      </c>
      <c r="C27" s="8">
        <v>3</v>
      </c>
      <c r="D27" s="8">
        <v>7.82</v>
      </c>
      <c r="E27" s="8">
        <v>7</v>
      </c>
    </row>
    <row r="28" spans="1:5" x14ac:dyDescent="0.3">
      <c r="A28" s="20" t="s">
        <v>31</v>
      </c>
      <c r="B28" s="10" t="s">
        <v>114</v>
      </c>
      <c r="C28" s="8">
        <v>75</v>
      </c>
      <c r="D28" s="8">
        <v>0</v>
      </c>
      <c r="E28" s="8">
        <v>70</v>
      </c>
    </row>
    <row r="29" spans="1:5" x14ac:dyDescent="0.3">
      <c r="A29" s="20" t="s">
        <v>33</v>
      </c>
      <c r="B29" s="10" t="s">
        <v>87</v>
      </c>
      <c r="C29" s="8">
        <v>40</v>
      </c>
      <c r="D29" s="8">
        <f>9.19+6.031</f>
        <v>15.221</v>
      </c>
      <c r="E29" s="8"/>
    </row>
    <row r="30" spans="1:5" x14ac:dyDescent="0.3">
      <c r="A30" s="20" t="s">
        <v>34</v>
      </c>
      <c r="B30" s="10" t="s">
        <v>97</v>
      </c>
      <c r="C30" s="8"/>
      <c r="D30" s="8"/>
      <c r="E30" s="8">
        <v>20</v>
      </c>
    </row>
    <row r="31" spans="1:5" x14ac:dyDescent="0.3">
      <c r="A31" s="20" t="s">
        <v>35</v>
      </c>
      <c r="B31" s="10" t="s">
        <v>85</v>
      </c>
      <c r="C31" s="8"/>
      <c r="D31" s="8">
        <f>8.7147+9.383</f>
        <v>18.0977</v>
      </c>
      <c r="E31" s="8"/>
    </row>
    <row r="32" spans="1:5" ht="55.2" x14ac:dyDescent="0.3">
      <c r="A32" s="20" t="s">
        <v>36</v>
      </c>
      <c r="B32" s="21" t="s">
        <v>96</v>
      </c>
      <c r="C32" s="8">
        <v>340</v>
      </c>
      <c r="D32" s="8">
        <v>499</v>
      </c>
      <c r="E32" s="8"/>
    </row>
    <row r="33" spans="1:6" x14ac:dyDescent="0.3">
      <c r="A33" s="20" t="s">
        <v>116</v>
      </c>
      <c r="B33" s="21" t="s">
        <v>115</v>
      </c>
      <c r="C33" s="8"/>
      <c r="D33" s="8">
        <f>9.9493+3.4</f>
        <v>13.349299999999999</v>
      </c>
      <c r="E33" s="8">
        <v>30</v>
      </c>
    </row>
    <row r="34" spans="1:6" x14ac:dyDescent="0.3">
      <c r="A34" s="20" t="s">
        <v>38</v>
      </c>
      <c r="B34" s="10" t="s">
        <v>111</v>
      </c>
      <c r="C34" s="8"/>
      <c r="D34" s="8"/>
      <c r="E34" s="8">
        <v>280</v>
      </c>
    </row>
    <row r="35" spans="1:6" x14ac:dyDescent="0.3">
      <c r="A35" s="20" t="s">
        <v>39</v>
      </c>
      <c r="B35" s="14" t="s">
        <v>88</v>
      </c>
      <c r="C35" s="26">
        <f>SUM(C36:C57)-C37</f>
        <v>3098.1489599999995</v>
      </c>
      <c r="D35" s="26">
        <f t="shared" ref="D35:E35" si="4">SUM(D36:D57)-D37</f>
        <v>2975.9681850327702</v>
      </c>
      <c r="E35" s="26">
        <f t="shared" si="4"/>
        <v>3423.0308</v>
      </c>
    </row>
    <row r="36" spans="1:6" ht="27.6" customHeight="1" x14ac:dyDescent="0.3">
      <c r="A36" s="20" t="s">
        <v>40</v>
      </c>
      <c r="B36" s="21" t="s">
        <v>112</v>
      </c>
      <c r="C36" s="8">
        <f>1354.168+547</f>
        <v>1901.1679999999999</v>
      </c>
      <c r="D36" s="8">
        <v>1858</v>
      </c>
      <c r="E36" s="8">
        <v>1945</v>
      </c>
    </row>
    <row r="37" spans="1:6" ht="13.8" customHeight="1" x14ac:dyDescent="0.3">
      <c r="A37" s="20"/>
      <c r="B37" s="21" t="s">
        <v>113</v>
      </c>
      <c r="C37" s="8">
        <v>547</v>
      </c>
      <c r="D37" s="8">
        <v>477</v>
      </c>
      <c r="E37" s="8">
        <v>530</v>
      </c>
    </row>
    <row r="38" spans="1:6" x14ac:dyDescent="0.3">
      <c r="A38" s="20" t="s">
        <v>41</v>
      </c>
      <c r="B38" s="10" t="s">
        <v>42</v>
      </c>
      <c r="C38" s="8">
        <f>297.91696+109</f>
        <v>406.91696000000002</v>
      </c>
      <c r="D38" s="8">
        <v>363</v>
      </c>
      <c r="E38" s="8">
        <v>407</v>
      </c>
    </row>
    <row r="39" spans="1:6" x14ac:dyDescent="0.3">
      <c r="A39" s="20" t="s">
        <v>43</v>
      </c>
      <c r="B39" s="10" t="s">
        <v>44</v>
      </c>
      <c r="C39" s="8">
        <v>14</v>
      </c>
      <c r="D39" s="8">
        <v>14.4</v>
      </c>
      <c r="E39" s="8">
        <v>14</v>
      </c>
    </row>
    <row r="40" spans="1:6" x14ac:dyDescent="0.3">
      <c r="A40" s="20" t="s">
        <v>45</v>
      </c>
      <c r="B40" s="10" t="s">
        <v>46</v>
      </c>
      <c r="C40" s="8">
        <v>120</v>
      </c>
      <c r="D40" s="8">
        <v>120</v>
      </c>
      <c r="E40" s="8">
        <v>120</v>
      </c>
    </row>
    <row r="41" spans="1:6" x14ac:dyDescent="0.3">
      <c r="A41" s="20" t="s">
        <v>47</v>
      </c>
      <c r="B41" s="10" t="s">
        <v>48</v>
      </c>
      <c r="C41" s="8">
        <v>2.5</v>
      </c>
      <c r="D41" s="8">
        <v>3.5</v>
      </c>
      <c r="E41" s="8">
        <v>7</v>
      </c>
    </row>
    <row r="42" spans="1:6" x14ac:dyDescent="0.3">
      <c r="A42" s="20" t="s">
        <v>49</v>
      </c>
      <c r="B42" s="10" t="s">
        <v>50</v>
      </c>
      <c r="C42" s="8">
        <v>18</v>
      </c>
      <c r="D42" s="8">
        <v>18</v>
      </c>
      <c r="E42" s="8">
        <v>18</v>
      </c>
    </row>
    <row r="43" spans="1:6" ht="41.4" x14ac:dyDescent="0.3">
      <c r="A43" s="20" t="s">
        <v>51</v>
      </c>
      <c r="B43" s="21" t="s">
        <v>98</v>
      </c>
      <c r="C43" s="8">
        <f>18+30</f>
        <v>48</v>
      </c>
      <c r="D43" s="8">
        <v>31.94314</v>
      </c>
      <c r="E43" s="8">
        <f>32+15</f>
        <v>47</v>
      </c>
    </row>
    <row r="44" spans="1:6" ht="28.2" customHeight="1" x14ac:dyDescent="0.3">
      <c r="A44" s="20" t="s">
        <v>52</v>
      </c>
      <c r="B44" s="21" t="s">
        <v>101</v>
      </c>
      <c r="C44" s="8"/>
      <c r="D44" s="8">
        <v>26</v>
      </c>
      <c r="E44" s="8">
        <f>15+60</f>
        <v>75</v>
      </c>
    </row>
    <row r="45" spans="1:6" x14ac:dyDescent="0.3">
      <c r="A45" s="9" t="s">
        <v>91</v>
      </c>
      <c r="B45" s="6" t="s">
        <v>54</v>
      </c>
      <c r="C45" s="8">
        <f>90+30</f>
        <v>120</v>
      </c>
      <c r="D45" s="8">
        <v>128.39500000000001</v>
      </c>
      <c r="E45" s="8">
        <f>D45*1.04</f>
        <v>133.53080000000003</v>
      </c>
      <c r="F45" s="19"/>
    </row>
    <row r="46" spans="1:6" x14ac:dyDescent="0.3">
      <c r="A46" s="9" t="s">
        <v>53</v>
      </c>
      <c r="B46" s="6" t="s">
        <v>56</v>
      </c>
      <c r="C46" s="8">
        <v>15</v>
      </c>
      <c r="D46" s="8">
        <f>6+20</f>
        <v>26</v>
      </c>
      <c r="E46" s="8">
        <v>20</v>
      </c>
    </row>
    <row r="47" spans="1:6" x14ac:dyDescent="0.3">
      <c r="A47" s="9" t="s">
        <v>99</v>
      </c>
      <c r="B47" s="6" t="s">
        <v>58</v>
      </c>
      <c r="C47" s="8">
        <v>130</v>
      </c>
      <c r="D47" s="8">
        <v>135.5</v>
      </c>
      <c r="E47" s="8">
        <f>D47</f>
        <v>135.5</v>
      </c>
    </row>
    <row r="48" spans="1:6" x14ac:dyDescent="0.3">
      <c r="A48" s="9" t="s">
        <v>55</v>
      </c>
      <c r="B48" s="6" t="s">
        <v>94</v>
      </c>
      <c r="C48" s="8">
        <f>12+7</f>
        <v>19</v>
      </c>
      <c r="D48" s="8">
        <f>10.62+6+0.4</f>
        <v>17.019999999999996</v>
      </c>
      <c r="E48" s="7">
        <v>19</v>
      </c>
    </row>
    <row r="49" spans="1:5" x14ac:dyDescent="0.3">
      <c r="A49" s="9" t="s">
        <v>57</v>
      </c>
      <c r="B49" s="10" t="s">
        <v>61</v>
      </c>
      <c r="C49" s="8">
        <v>7</v>
      </c>
      <c r="D49" s="8">
        <v>14.41</v>
      </c>
      <c r="E49" s="7">
        <v>11</v>
      </c>
    </row>
    <row r="50" spans="1:5" x14ac:dyDescent="0.3">
      <c r="A50" s="9" t="s">
        <v>59</v>
      </c>
      <c r="B50" s="6" t="s">
        <v>63</v>
      </c>
      <c r="C50" s="8">
        <v>35</v>
      </c>
      <c r="D50" s="8">
        <v>35.750045032770394</v>
      </c>
      <c r="E50" s="7">
        <v>35</v>
      </c>
    </row>
    <row r="51" spans="1:5" ht="13.5" customHeight="1" x14ac:dyDescent="0.3">
      <c r="A51" s="9" t="s">
        <v>100</v>
      </c>
      <c r="B51" s="6" t="s">
        <v>95</v>
      </c>
      <c r="C51" s="8">
        <v>29.5</v>
      </c>
      <c r="D51" s="8">
        <v>36.25</v>
      </c>
      <c r="E51" s="7">
        <v>36</v>
      </c>
    </row>
    <row r="52" spans="1:5" customFormat="1" ht="14.4" x14ac:dyDescent="0.3">
      <c r="A52" s="9" t="s">
        <v>60</v>
      </c>
      <c r="B52" s="12" t="s">
        <v>66</v>
      </c>
      <c r="C52" s="15">
        <v>60</v>
      </c>
      <c r="D52" s="8">
        <v>42</v>
      </c>
      <c r="E52" s="13">
        <v>60</v>
      </c>
    </row>
    <row r="53" spans="1:5" customFormat="1" ht="14.4" x14ac:dyDescent="0.3">
      <c r="A53" s="9" t="s">
        <v>92</v>
      </c>
      <c r="B53" s="6" t="s">
        <v>81</v>
      </c>
      <c r="C53" s="13">
        <v>42</v>
      </c>
      <c r="D53" s="18">
        <v>52.4</v>
      </c>
      <c r="E53" s="13">
        <v>45</v>
      </c>
    </row>
    <row r="54" spans="1:5" customFormat="1" ht="14.4" x14ac:dyDescent="0.3">
      <c r="A54" s="9" t="s">
        <v>62</v>
      </c>
      <c r="B54" s="11" t="s">
        <v>102</v>
      </c>
      <c r="C54" s="13">
        <v>60</v>
      </c>
      <c r="D54" s="18">
        <v>0</v>
      </c>
      <c r="E54" s="13">
        <v>100</v>
      </c>
    </row>
    <row r="55" spans="1:5" customFormat="1" ht="14.4" x14ac:dyDescent="0.3">
      <c r="A55" s="9" t="s">
        <v>93</v>
      </c>
      <c r="B55" s="6" t="s">
        <v>82</v>
      </c>
      <c r="C55" s="13">
        <v>40.064</v>
      </c>
      <c r="D55" s="18">
        <v>30</v>
      </c>
      <c r="E55" s="13">
        <v>40</v>
      </c>
    </row>
    <row r="56" spans="1:5" customFormat="1" ht="14.4" x14ac:dyDescent="0.3">
      <c r="A56" s="9" t="s">
        <v>64</v>
      </c>
      <c r="B56" s="6" t="s">
        <v>105</v>
      </c>
      <c r="C56" s="13">
        <v>10</v>
      </c>
      <c r="D56" s="18">
        <v>12.4</v>
      </c>
      <c r="E56" s="13">
        <v>135</v>
      </c>
    </row>
    <row r="57" spans="1:5" ht="14.4" x14ac:dyDescent="0.3">
      <c r="A57" s="9" t="s">
        <v>65</v>
      </c>
      <c r="B57" s="6" t="s">
        <v>80</v>
      </c>
      <c r="C57" s="13">
        <v>20</v>
      </c>
      <c r="D57" s="18">
        <v>11</v>
      </c>
      <c r="E57" s="8">
        <v>20</v>
      </c>
    </row>
    <row r="58" spans="1:5" customFormat="1" ht="15.6" x14ac:dyDescent="0.3">
      <c r="A58" s="20" t="s">
        <v>69</v>
      </c>
      <c r="B58" s="33" t="s">
        <v>70</v>
      </c>
      <c r="C58" s="27"/>
      <c r="D58" s="27">
        <v>41.866139999999994</v>
      </c>
      <c r="E58" s="27"/>
    </row>
    <row r="59" spans="1:5" x14ac:dyDescent="0.3">
      <c r="A59" s="20"/>
      <c r="B59" s="14" t="s">
        <v>71</v>
      </c>
      <c r="C59" s="34">
        <f>C3-C19</f>
        <v>-171.41546607543751</v>
      </c>
      <c r="D59" s="34">
        <f>D3-D19</f>
        <v>122.81505496723094</v>
      </c>
      <c r="E59" s="34">
        <f>E3-E19</f>
        <v>0.14275527500012686</v>
      </c>
    </row>
  </sheetData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2018-01-29T12:04:19Z</dcterms:modified>
</cp:coreProperties>
</file>